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konta\Desktop\"/>
    </mc:Choice>
  </mc:AlternateContent>
  <xr:revisionPtr revIDLastSave="0" documentId="13_ncr:1_{BCF8D010-C18A-4806-B107-CA6B1224DCEA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Pracodawca" sheetId="1" r:id="rId1"/>
    <sheet name="Pracownicy" sheetId="2" r:id="rId2"/>
    <sheet name="Zleceniobiorcy" sheetId="3" r:id="rId3"/>
    <sheet name="Lista płac" sheetId="4" r:id="rId4"/>
    <sheet name="Chorobowe i zasiłki" sheetId="5" r:id="rId5"/>
    <sheet name="Lista płac z chorobowymi" sheetId="6" r:id="rId6"/>
    <sheet name="ZUS IWA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4" l="1"/>
  <c r="B14" i="7" l="1"/>
  <c r="B11" i="5" l="1"/>
  <c r="B5" i="5"/>
  <c r="B7" i="5" s="1"/>
  <c r="C22" i="4"/>
  <c r="C21" i="4"/>
  <c r="C20" i="4"/>
  <c r="C19" i="4"/>
  <c r="C18" i="4"/>
  <c r="C6" i="4"/>
  <c r="C5" i="4"/>
  <c r="C4" i="4"/>
  <c r="C3" i="6" l="1"/>
  <c r="C20" i="6" s="1"/>
  <c r="C3" i="4"/>
  <c r="C7" i="4" s="1"/>
  <c r="C17" i="4"/>
  <c r="B9" i="5"/>
  <c r="C22" i="6" l="1"/>
  <c r="C6" i="6"/>
  <c r="C19" i="6"/>
  <c r="C7" i="6"/>
  <c r="C23" i="6"/>
  <c r="C5" i="6"/>
  <c r="C21" i="6"/>
  <c r="C14" i="4"/>
  <c r="C9" i="4"/>
  <c r="C12" i="4" s="1"/>
  <c r="C15" i="4" s="1"/>
  <c r="C13" i="4"/>
  <c r="C18" i="6" l="1"/>
  <c r="C4" i="6"/>
  <c r="C8" i="6" s="1"/>
  <c r="C16" i="4"/>
  <c r="C15" i="6" l="1"/>
  <c r="C10" i="6"/>
  <c r="C14" i="6"/>
  <c r="C13" i="6" l="1"/>
  <c r="C16" i="6" s="1"/>
  <c r="C17" i="6" s="1"/>
  <c r="C1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Gestum</author>
  </authors>
  <commentList>
    <comment ref="C8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SPD SZKOLENIA:
UWAGA - tu doliczamy wynagrodzenie chorobowe</t>
        </r>
      </text>
    </comment>
    <comment ref="C10" authorId="0" shapeId="0" xr:uid="{00000000-0006-0000-0500-000002000000}">
      <text>
        <r>
          <rPr>
            <b/>
            <sz val="9"/>
            <color indexed="81"/>
            <rFont val="Tahoma"/>
            <charset val="1"/>
          </rPr>
          <t>SPD SZKOLENIA:
UWAGA - tu doliczamy zasiłki, jeśli wypłaca je pracodawca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 xr:uid="{00000000-0006-0000-0500-000003000000}">
      <text>
        <r>
          <rPr>
            <b/>
            <sz val="9"/>
            <color indexed="81"/>
            <rFont val="Tahoma"/>
            <charset val="1"/>
          </rPr>
          <t>SPD SZKOLENIA:
Uwaga: tu doliczamy wynagrodzenie chorobowe i zasiłek w kwotach brutto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<sst xmlns="http://schemas.openxmlformats.org/spreadsheetml/2006/main" count="139" uniqueCount="88">
  <si>
    <t>Nazwa</t>
  </si>
  <si>
    <t>Adres</t>
  </si>
  <si>
    <t>PESEL</t>
  </si>
  <si>
    <t>Omega Jan Kowalski</t>
  </si>
  <si>
    <t>ul. Litomska 36, 53-641 Wrocław</t>
  </si>
  <si>
    <t>Imię i nazwisko</t>
  </si>
  <si>
    <t>Anna Nowak</t>
  </si>
  <si>
    <t>ul. Chmielna 27/33, 80-748 Gdańsk</t>
  </si>
  <si>
    <t>Monika Wiśniewska</t>
  </si>
  <si>
    <t>ul. Szamocka 3, 01-748 Warszawa</t>
  </si>
  <si>
    <t>Edyta Leśniak</t>
  </si>
  <si>
    <t>ul. Hetmańska 15, 35-045 Rzeszów</t>
  </si>
  <si>
    <t>ul. Sowińskiego 2, 40-018 Katowice</t>
  </si>
  <si>
    <t>Składka wypadkowa</t>
  </si>
  <si>
    <t>Podstawa składek społecznych</t>
  </si>
  <si>
    <t>Składki ZUS pracownika</t>
  </si>
  <si>
    <t>Ubezpieczenie emerytalne:</t>
  </si>
  <si>
    <t>Ubezpieczenie rentowe:</t>
  </si>
  <si>
    <t>Ubezpieczenie chorobowe:</t>
  </si>
  <si>
    <t>Podstawa składki zdrowotnej:</t>
  </si>
  <si>
    <t>Koszt uzyskania przychodu:</t>
  </si>
  <si>
    <t>Podstawa podatku:</t>
  </si>
  <si>
    <t>Zaliczka na podatek:</t>
  </si>
  <si>
    <t>Ulga podatkowa:</t>
  </si>
  <si>
    <t>Ubezpieczenie zdrowotne 9%</t>
  </si>
  <si>
    <t>Ubezpieczenie zdrowotne 7,75%</t>
  </si>
  <si>
    <t>Podatek do skarbowego:</t>
  </si>
  <si>
    <t>Netto do wypłaty</t>
  </si>
  <si>
    <t>Składki ZUS pracodawcy:</t>
  </si>
  <si>
    <t>Ubezpieczenie wypadkowe:</t>
  </si>
  <si>
    <t>Fundusz Pracy</t>
  </si>
  <si>
    <t>FGŚP</t>
  </si>
  <si>
    <t>Podatek:</t>
  </si>
  <si>
    <t>Wynagrodzenie brutto ze wszystkimi składnikami</t>
  </si>
  <si>
    <t>9,76% z poz. 1</t>
  </si>
  <si>
    <t>1,5% z poz. 1</t>
  </si>
  <si>
    <t>2,45% z poz. 1</t>
  </si>
  <si>
    <t>Podstawa składek społecznych pomniejszona o sumę składek (poz. 1-2)</t>
  </si>
  <si>
    <t>Suma składek, finansowanych z wynagrodzenia (poz. 3+4+5)</t>
  </si>
  <si>
    <t>Stała wartość - koszty podstawowe lub podwyższone</t>
  </si>
  <si>
    <t>Poz. 6-7 zaokrąglona do pełnej złotówki</t>
  </si>
  <si>
    <t>Poz. 9-10</t>
  </si>
  <si>
    <t>9% z podstawy składki zdrowotnej (9% z poz. 6)</t>
  </si>
  <si>
    <t>Poz. 11-13 po zaokrągleniu do pełnej złotówki</t>
  </si>
  <si>
    <t>Poz. 1-2-12-14</t>
  </si>
  <si>
    <t>Suma składek, finansowanych przez pracodawcę (poz.17+18+19+20+21)</t>
  </si>
  <si>
    <t>9,76% z poz.1</t>
  </si>
  <si>
    <t>6,5% z poz. 1</t>
  </si>
  <si>
    <t>1,67% z poz. 1</t>
  </si>
  <si>
    <t>0,10% z poz. 1</t>
  </si>
  <si>
    <t>Podstawa brutto:</t>
  </si>
  <si>
    <t>Podstawa netto:</t>
  </si>
  <si>
    <t>Wynagrodzenie chorobowe:</t>
  </si>
  <si>
    <t>Liczba dni choroby z wynagrodzeniem chorobowym:</t>
  </si>
  <si>
    <t>Liczba dni choroby z zasiłkiem:</t>
  </si>
  <si>
    <t>Zasiłek chorobowy</t>
  </si>
  <si>
    <t>7,75% z podstawy składki zdrowotnej (odliczana od podatku, 7,75% z poz. 6)</t>
  </si>
  <si>
    <t>Stała wartość (46,33 zł albo 0 zł)</t>
  </si>
  <si>
    <t>Stała wartość (46,33 albo 0 zł)</t>
  </si>
  <si>
    <t>Wynagrodzenie za przepracowaną część miesiąca:</t>
  </si>
  <si>
    <t>Karolina Wajda</t>
  </si>
  <si>
    <t>Tabela: PRACODAWCA</t>
  </si>
  <si>
    <t>Tabela: PRACOWNICY</t>
  </si>
  <si>
    <t>Tabela: ZLECENIOBIORCY</t>
  </si>
  <si>
    <t>Tabela: LISTA PŁAC</t>
  </si>
  <si>
    <t>Tabela: CHOROBOWE I ZASIŁKI</t>
  </si>
  <si>
    <t>Kolumna 2</t>
  </si>
  <si>
    <t>Kolumna 1</t>
  </si>
  <si>
    <r>
      <t xml:space="preserve">hasło: </t>
    </r>
    <r>
      <rPr>
        <sz val="11"/>
        <color rgb="FFFF0000"/>
        <rFont val="Calibri"/>
        <family val="2"/>
        <charset val="238"/>
        <scheme val="minor"/>
      </rPr>
      <t>Testowe 123</t>
    </r>
  </si>
  <si>
    <t>Tabela: LISTA PŁAC Z CHOROBOWYMI</t>
  </si>
  <si>
    <t>Kolumna 3</t>
  </si>
  <si>
    <t>UWAGA - powyższe dane są fikcyjne, wyjaśnienie co do nich w treści nagrania wideo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</si>
  <si>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</si>
  <si>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</si>
  <si>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</si>
  <si>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</si>
  <si>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</si>
  <si>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</si>
  <si>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</si>
  <si>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</si>
  <si>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</si>
  <si>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</si>
  <si>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</si>
  <si>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</si>
  <si>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Monika Wiśniewska - do 15.01 rodzicielski, następnie od 16.01 wychowawczy</t>
  </si>
  <si>
    <t>Anna Nowak - zwolnienie lekarskie 01.01 - 10.01, 11.01 poród i od tego dnia jest na macierzyńskim</t>
  </si>
  <si>
    <t xml:space="preserve"> 3 000,00 zł </t>
  </si>
  <si>
    <t>17% z poz. 8 (przyjmujemy pierwszy próg podatkowy)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</si>
</sst>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5B88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2" borderId="0" applyFont="0"/>
    <xf numFmtId="44" fontId="13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164" fontId="0" fillId="0" borderId="0" xfId="0" applyNumberFormat="1"/>
    <xf numFmtId="0" fontId="6" fillId="0" borderId="0" xfId="0" applyFont="1"/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10" fontId="11" fillId="5" borderId="9" xfId="0" applyNumberFormat="1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10" xfId="0" applyFont="1" applyFill="1" applyBorder="1"/>
    <xf numFmtId="0" fontId="11" fillId="5" borderId="11" xfId="0" applyFont="1" applyFill="1" applyBorder="1"/>
    <xf numFmtId="0" fontId="11" fillId="5" borderId="12" xfId="0" applyFont="1" applyFill="1" applyBorder="1"/>
    <xf numFmtId="0" fontId="2" fillId="0" borderId="0" xfId="0" applyFont="1" applyBorder="1" applyAlignment="1">
      <alignment vertical="center"/>
    </xf>
    <xf numFmtId="0" fontId="11" fillId="5" borderId="2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9" fillId="0" borderId="0" xfId="0" applyFont="1"/>
    <xf numFmtId="0" fontId="0" fillId="5" borderId="8" xfId="0" applyFill="1" applyBorder="1"/>
    <xf numFmtId="0" fontId="0" fillId="5" borderId="1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1" fillId="0" borderId="14" xfId="0" applyFont="1" applyBorder="1"/>
    <xf numFmtId="0" fontId="1" fillId="0" borderId="16" xfId="0" applyFont="1" applyBorder="1"/>
    <xf numFmtId="164" fontId="0" fillId="0" borderId="13" xfId="0" applyNumberFormat="1" applyBorder="1"/>
    <xf numFmtId="164" fontId="0" fillId="0" borderId="17" xfId="0" applyNumberFormat="1" applyBorder="1"/>
    <xf numFmtId="0" fontId="0" fillId="0" borderId="0" xfId="0" applyAlignment="1">
      <alignment vertical="center"/>
    </xf>
    <xf numFmtId="164" fontId="0" fillId="0" borderId="0" xfId="0" applyNumberFormat="1" applyFont="1" applyBorder="1"/>
    <xf numFmtId="164" fontId="1" fillId="0" borderId="15" xfId="0" applyNumberFormat="1" applyFont="1" applyBorder="1" applyAlignment="1">
      <alignment horizontal="right"/>
    </xf>
    <xf numFmtId="164" fontId="0" fillId="0" borderId="15" xfId="0" applyNumberFormat="1" applyFont="1" applyBorder="1"/>
    <xf numFmtId="0" fontId="1" fillId="5" borderId="14" xfId="0" applyFont="1" applyFill="1" applyBorder="1"/>
    <xf numFmtId="164" fontId="0" fillId="5" borderId="0" xfId="0" applyNumberFormat="1" applyFont="1" applyFill="1" applyBorder="1"/>
    <xf numFmtId="164" fontId="1" fillId="5" borderId="15" xfId="0" applyNumberFormat="1" applyFont="1" applyFill="1" applyBorder="1"/>
    <xf numFmtId="164" fontId="0" fillId="5" borderId="15" xfId="0" applyNumberFormat="1" applyFont="1" applyFill="1" applyBorder="1"/>
    <xf numFmtId="164" fontId="0" fillId="5" borderId="0" xfId="0" applyNumberFormat="1" applyFill="1" applyBorder="1"/>
    <xf numFmtId="164" fontId="0" fillId="5" borderId="15" xfId="0" applyNumberFormat="1" applyFill="1" applyBorder="1"/>
    <xf numFmtId="0" fontId="11" fillId="5" borderId="21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14" xfId="0" applyFont="1" applyBorder="1" applyAlignment="1">
      <alignment vertical="center"/>
    </xf>
    <xf numFmtId="164" fontId="0" fillId="0" borderId="15" xfId="0" applyNumberFormat="1" applyBorder="1" applyAlignment="1">
      <alignment horizontal="center" vertical="center"/>
    </xf>
    <xf numFmtId="0" fontId="1" fillId="5" borderId="14" xfId="0" applyFont="1" applyFill="1" applyBorder="1" applyAlignment="1">
      <alignment vertical="center"/>
    </xf>
    <xf numFmtId="164" fontId="0" fillId="5" borderId="15" xfId="0" applyNumberForma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164" fontId="0" fillId="0" borderId="17" xfId="0" applyNumberForma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0" fontId="0" fillId="5" borderId="0" xfId="0" applyFill="1" applyBorder="1"/>
    <xf numFmtId="0" fontId="0" fillId="0" borderId="0" xfId="0" applyBorder="1"/>
    <xf numFmtId="0" fontId="1" fillId="5" borderId="16" xfId="0" applyFont="1" applyFill="1" applyBorder="1"/>
    <xf numFmtId="0" fontId="0" fillId="5" borderId="13" xfId="0" applyFill="1" applyBorder="1"/>
    <xf numFmtId="44" fontId="0" fillId="4" borderId="15" xfId="2" applyFont="1" applyFill="1" applyBorder="1" applyAlignment="1">
      <alignment horizontal="center" vertical="center"/>
    </xf>
    <xf numFmtId="44" fontId="0" fillId="5" borderId="15" xfId="2" applyFont="1" applyFill="1" applyBorder="1"/>
    <xf numFmtId="44" fontId="0" fillId="0" borderId="15" xfId="2" applyFont="1" applyBorder="1"/>
    <xf numFmtId="44" fontId="0" fillId="5" borderId="17" xfId="2" applyFont="1" applyFill="1" applyBorder="1"/>
    <xf numFmtId="44" fontId="0" fillId="0" borderId="0" xfId="2" applyFont="1"/>
    <xf numFmtId="164" fontId="12" fillId="5" borderId="1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5" xfId="0" applyNumberFormat="1" applyBorder="1" applyAlignment="1">
      <alignment horizontal="right" vertical="center"/>
    </xf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8" fillId="3" borderId="18" xfId="0" applyNumberFormat="1" applyFont="1" applyFill="1" applyBorder="1" applyAlignment="1">
      <alignment horizontal="center" vertical="center"/>
    </xf>
    <xf numFmtId="164" fontId="8" fillId="3" borderId="19" xfId="0" applyNumberFormat="1" applyFont="1" applyFill="1" applyBorder="1" applyAlignment="1">
      <alignment horizontal="center" vertical="center"/>
    </xf>
    <xf numFmtId="164" fontId="8" fillId="3" borderId="20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</cellXfs>
  <cellStyles count="3">
    <cellStyle name="Normalny" xfId="0" builtinId="0"/>
    <cellStyle name="Styl 1" xfId="1" xr:uid="{00000000-0005-0000-0000-000001000000}"/>
    <cellStyle name="Walutowy" xfId="2" builtinId="4"/>
  </cellStyles>
  <dxfs count="10">
    <dxf>
      <font>
        <b/>
      </font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164" formatCode="_-* #,##0.00\ [$zł-415]_-;\-* #,##0.00\ [$zł-415]_-;_-* &quot;-&quot;??\ [$zł-415]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numFmt numFmtId="164" formatCode="_-* #,##0.00\ [$zł-415]_-;\-* #,##0.00\ [$zł-415]_-;_-* &quot;-&quot;??\ [$zł-415]_-;_-@_-"/>
    </dxf>
    <dxf>
      <numFmt numFmtId="164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</dxf>
  </dxfs>
  <tableStyles count="0" defaultTableStyle="TableStyleMedium2" defaultPivotStyle="PivotStyleLight16"/>
  <colors>
    <mruColors>
      <color rgb="FF5B8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C22" totalsRowShown="0" headerRowDxfId="9">
  <autoFilter ref="A2:C22" xr:uid="{00000000-0009-0000-0100-000001000000}"/>
  <tableColumns count="3">
    <tableColumn id="1" xr3:uid="{00000000-0010-0000-0000-000001000000}" name="Podstawa składek społecznych" dataDxfId="8"/>
    <tableColumn id="2" xr3:uid="{00000000-0010-0000-0000-000002000000}" name="Wynagrodzenie brutto ze wszystkimi składnikami" dataDxfId="7"/>
    <tableColumn id="3" xr3:uid="{00000000-0010-0000-0000-000003000000}" name=" 3 000,00 zł " dataDxfId="6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a5" displayName="Tabela5" ref="A2:B11" totalsRowShown="0" headerRowDxfId="5" dataDxfId="4">
  <autoFilter ref="A2:B11" xr:uid="{00000000-0009-0000-0100-000005000000}"/>
  <tableColumns count="2">
    <tableColumn id="1" xr3:uid="{00000000-0010-0000-0100-000001000000}" name="Kolumna 1" dataDxfId="3"/>
    <tableColumn id="2" xr3:uid="{00000000-0010-0000-0100-000002000000}" name="Kolumna 2" dataDxfId="2"/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a2" displayName="Tabela2" ref="A2:C23" totalsRowShown="0" headerRowDxfId="1" dataCellStyle="Normalny">
  <autoFilter ref="A2:C23" xr:uid="{00000000-0009-0000-0100-000002000000}"/>
  <tableColumns count="3">
    <tableColumn id="1" xr3:uid="{00000000-0010-0000-0200-000001000000}" name="Kolumna 1" dataDxfId="0" dataCellStyle="Normalny"/>
    <tableColumn id="2" xr3:uid="{00000000-0010-0000-0200-000002000000}" name="Kolumna 2" dataCellStyle="Normalny"/>
    <tableColumn id="3" xr3:uid="{00000000-0010-0000-0200-000003000000}" name="Kolumna 3" dataCellStyle="Walutowy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showGridLines="0" workbookViewId="0">
      <selection activeCell="C4" sqref="C4"/>
    </sheetView>
  </sheetViews>
  <sheetFormatPr defaultRowHeight="14.4" x14ac:dyDescent="0.3"/>
  <cols>
    <col min="1" max="1" width="26.33203125" bestFit="1" customWidth="1"/>
    <col min="2" max="2" width="41.88671875" bestFit="1" customWidth="1"/>
    <col min="3" max="3" width="22.6640625" customWidth="1"/>
    <col min="4" max="4" width="28.5546875" customWidth="1"/>
  </cols>
  <sheetData>
    <row r="1" spans="1:4" ht="35.1" customHeight="1" thickBot="1" x14ac:dyDescent="0.35">
      <c r="A1" s="71" t="s">
        <v>61</v>
      </c>
      <c r="B1" s="71"/>
      <c r="C1" s="71"/>
      <c r="D1" s="71"/>
    </row>
    <row r="2" spans="1:4" ht="27.75" customHeight="1" thickBot="1" x14ac:dyDescent="0.35">
      <c r="A2" s="4" t="s">
        <v>0</v>
      </c>
      <c r="B2" s="5" t="s">
        <v>1</v>
      </c>
      <c r="C2" s="5" t="s">
        <v>2</v>
      </c>
      <c r="D2" s="6" t="s">
        <v>13</v>
      </c>
    </row>
    <row r="3" spans="1:4" ht="18" x14ac:dyDescent="0.35">
      <c r="A3" s="7"/>
      <c r="B3" s="8"/>
      <c r="C3" s="8"/>
      <c r="D3" s="9"/>
    </row>
    <row r="4" spans="1:4" ht="18" x14ac:dyDescent="0.35">
      <c r="A4" s="10" t="s">
        <v>3</v>
      </c>
      <c r="B4" s="11" t="s">
        <v>4</v>
      </c>
      <c r="C4" s="11">
        <v>70030554956</v>
      </c>
      <c r="D4" s="12">
        <v>1.7999999999999999E-2</v>
      </c>
    </row>
    <row r="5" spans="1:4" ht="18" x14ac:dyDescent="0.35">
      <c r="A5" s="10"/>
      <c r="B5" s="11"/>
      <c r="C5" s="11"/>
      <c r="D5" s="12">
        <v>1.67E-2</v>
      </c>
    </row>
    <row r="6" spans="1:4" ht="18" x14ac:dyDescent="0.35">
      <c r="A6" s="10"/>
      <c r="B6" s="11"/>
      <c r="C6" s="11"/>
      <c r="D6" s="12"/>
    </row>
    <row r="7" spans="1:4" ht="18" x14ac:dyDescent="0.35">
      <c r="A7" s="10"/>
      <c r="B7" s="11"/>
      <c r="C7" s="11"/>
      <c r="D7" s="12"/>
    </row>
    <row r="8" spans="1:4" ht="18" x14ac:dyDescent="0.35">
      <c r="A8" s="10"/>
      <c r="B8" s="11"/>
      <c r="C8" s="11"/>
      <c r="D8" s="12"/>
    </row>
    <row r="9" spans="1:4" ht="18" x14ac:dyDescent="0.35">
      <c r="A9" s="10"/>
      <c r="B9" s="11"/>
      <c r="C9" s="11"/>
      <c r="D9" s="12"/>
    </row>
    <row r="10" spans="1:4" ht="18" x14ac:dyDescent="0.35">
      <c r="A10" s="10"/>
      <c r="B10" s="11"/>
      <c r="C10" s="11"/>
      <c r="D10" s="13"/>
    </row>
    <row r="11" spans="1:4" ht="18" x14ac:dyDescent="0.35">
      <c r="A11" s="10"/>
      <c r="B11" s="11"/>
      <c r="C11" s="11"/>
      <c r="D11" s="13"/>
    </row>
    <row r="12" spans="1:4" ht="18.600000000000001" thickBot="1" x14ac:dyDescent="0.4">
      <c r="A12" s="14"/>
      <c r="B12" s="15"/>
      <c r="C12" s="15"/>
      <c r="D12" s="16"/>
    </row>
    <row r="14" spans="1:4" x14ac:dyDescent="0.3">
      <c r="A14" t="s">
        <v>68</v>
      </c>
    </row>
    <row r="16" spans="1:4" x14ac:dyDescent="0.3">
      <c r="A16" s="1" t="s">
        <v>71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showGridLines="0" workbookViewId="0">
      <selection activeCell="A14" sqref="A14"/>
    </sheetView>
  </sheetViews>
  <sheetFormatPr defaultRowHeight="14.4" x14ac:dyDescent="0.3"/>
  <cols>
    <col min="1" max="1" width="25.6640625" bestFit="1" customWidth="1"/>
    <col min="2" max="2" width="47.88671875" customWidth="1"/>
    <col min="3" max="3" width="31.33203125" customWidth="1"/>
  </cols>
  <sheetData>
    <row r="1" spans="1:4" ht="35.1" customHeight="1" thickBot="1" x14ac:dyDescent="0.35">
      <c r="A1" s="71" t="s">
        <v>62</v>
      </c>
      <c r="B1" s="71"/>
      <c r="C1" s="71"/>
      <c r="D1" s="17"/>
    </row>
    <row r="2" spans="1:4" ht="30" customHeight="1" thickBot="1" x14ac:dyDescent="0.35">
      <c r="A2" s="4" t="s">
        <v>5</v>
      </c>
      <c r="B2" s="5" t="s">
        <v>1</v>
      </c>
      <c r="C2" s="6" t="s">
        <v>2</v>
      </c>
    </row>
    <row r="3" spans="1:4" ht="18" x14ac:dyDescent="0.35">
      <c r="A3" s="19"/>
      <c r="B3" s="18"/>
      <c r="C3" s="20"/>
    </row>
    <row r="4" spans="1:4" ht="18" x14ac:dyDescent="0.35">
      <c r="A4" s="10" t="s">
        <v>6</v>
      </c>
      <c r="B4" s="11" t="s">
        <v>7</v>
      </c>
      <c r="C4" s="13">
        <v>80061278642</v>
      </c>
    </row>
    <row r="5" spans="1:4" ht="18" x14ac:dyDescent="0.35">
      <c r="A5" s="10"/>
      <c r="B5" s="11"/>
      <c r="C5" s="13"/>
    </row>
    <row r="6" spans="1:4" ht="18" x14ac:dyDescent="0.35">
      <c r="A6" s="10" t="s">
        <v>8</v>
      </c>
      <c r="B6" s="11" t="s">
        <v>9</v>
      </c>
      <c r="C6" s="13">
        <v>83112335666</v>
      </c>
    </row>
    <row r="7" spans="1:4" ht="18" x14ac:dyDescent="0.35">
      <c r="A7" s="45"/>
      <c r="B7" s="46"/>
      <c r="C7" s="47"/>
    </row>
    <row r="8" spans="1:4" ht="18" x14ac:dyDescent="0.35">
      <c r="A8" s="45"/>
      <c r="B8" s="46"/>
      <c r="C8" s="47"/>
    </row>
    <row r="9" spans="1:4" ht="18" x14ac:dyDescent="0.35">
      <c r="A9" s="45"/>
      <c r="B9" s="46"/>
      <c r="C9" s="47"/>
    </row>
    <row r="10" spans="1:4" ht="18" x14ac:dyDescent="0.35">
      <c r="A10" s="45"/>
      <c r="B10" s="46"/>
      <c r="C10" s="47"/>
    </row>
    <row r="11" spans="1:4" ht="18.600000000000001" thickBot="1" x14ac:dyDescent="0.4">
      <c r="A11" s="21"/>
      <c r="B11" s="22"/>
      <c r="C11" s="23"/>
    </row>
    <row r="13" spans="1:4" x14ac:dyDescent="0.3">
      <c r="A13" s="70" t="s">
        <v>85</v>
      </c>
    </row>
    <row r="15" spans="1:4" x14ac:dyDescent="0.3">
      <c r="A15" s="70" t="s">
        <v>84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"/>
  <sheetViews>
    <sheetView showGridLines="0" workbookViewId="0">
      <selection activeCell="A6" sqref="A6"/>
    </sheetView>
  </sheetViews>
  <sheetFormatPr defaultRowHeight="14.4" x14ac:dyDescent="0.3"/>
  <cols>
    <col min="1" max="1" width="28.6640625" customWidth="1"/>
    <col min="2" max="2" width="53.109375" customWidth="1"/>
    <col min="3" max="3" width="29.6640625" customWidth="1"/>
  </cols>
  <sheetData>
    <row r="1" spans="1:4" ht="35.1" customHeight="1" thickBot="1" x14ac:dyDescent="0.35">
      <c r="A1" s="72" t="s">
        <v>63</v>
      </c>
      <c r="B1" s="72"/>
      <c r="C1" s="72"/>
      <c r="D1" s="17"/>
    </row>
    <row r="2" spans="1:4" ht="29.25" customHeight="1" thickBot="1" x14ac:dyDescent="0.35">
      <c r="A2" s="4" t="s">
        <v>5</v>
      </c>
      <c r="B2" s="5" t="s">
        <v>1</v>
      </c>
      <c r="C2" s="6" t="s">
        <v>2</v>
      </c>
    </row>
    <row r="3" spans="1:4" ht="18" x14ac:dyDescent="0.35">
      <c r="A3" s="19"/>
      <c r="B3" s="18"/>
      <c r="C3" s="20"/>
    </row>
    <row r="4" spans="1:4" ht="18" x14ac:dyDescent="0.35">
      <c r="A4" s="10" t="s">
        <v>10</v>
      </c>
      <c r="B4" s="11" t="s">
        <v>11</v>
      </c>
      <c r="C4" s="13">
        <v>76102263865</v>
      </c>
    </row>
    <row r="5" spans="1:4" ht="18" x14ac:dyDescent="0.35">
      <c r="A5" s="10"/>
      <c r="B5" s="11"/>
      <c r="C5" s="13"/>
    </row>
    <row r="6" spans="1:4" ht="18" x14ac:dyDescent="0.35">
      <c r="A6" s="10" t="s">
        <v>60</v>
      </c>
      <c r="B6" s="11" t="s">
        <v>12</v>
      </c>
      <c r="C6" s="13">
        <v>83112335666</v>
      </c>
    </row>
    <row r="7" spans="1:4" ht="18" x14ac:dyDescent="0.35">
      <c r="A7" s="10"/>
      <c r="B7" s="11"/>
      <c r="C7" s="13"/>
    </row>
    <row r="8" spans="1:4" ht="18" x14ac:dyDescent="0.35">
      <c r="A8" s="10"/>
      <c r="B8" s="11"/>
      <c r="C8" s="13"/>
    </row>
    <row r="9" spans="1:4" ht="18" x14ac:dyDescent="0.35">
      <c r="A9" s="10"/>
      <c r="B9" s="11"/>
      <c r="C9" s="13"/>
    </row>
    <row r="10" spans="1:4" ht="18" x14ac:dyDescent="0.35">
      <c r="A10" s="10"/>
      <c r="B10" s="11"/>
      <c r="C10" s="13"/>
    </row>
    <row r="11" spans="1:4" ht="18" x14ac:dyDescent="0.35">
      <c r="A11" s="10"/>
      <c r="B11" s="11"/>
      <c r="C11" s="13"/>
    </row>
    <row r="12" spans="1:4" ht="18" customHeight="1" x14ac:dyDescent="0.3">
      <c r="A12" s="25"/>
      <c r="B12" s="26"/>
      <c r="C12" s="27"/>
    </row>
    <row r="13" spans="1:4" ht="19.5" customHeight="1" thickBot="1" x14ac:dyDescent="0.35">
      <c r="A13" s="28"/>
      <c r="B13" s="29"/>
      <c r="C13" s="30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2"/>
  <sheetViews>
    <sheetView showGridLines="0" workbookViewId="0">
      <selection activeCell="C12" sqref="C12"/>
    </sheetView>
  </sheetViews>
  <sheetFormatPr defaultRowHeight="14.4" x14ac:dyDescent="0.3"/>
  <cols>
    <col min="1" max="1" width="34.6640625" customWidth="1"/>
    <col min="2" max="2" width="74.6640625" style="2" customWidth="1"/>
    <col min="3" max="3" width="18.33203125" style="2" customWidth="1"/>
  </cols>
  <sheetData>
    <row r="1" spans="1:3" ht="35.1" customHeight="1" thickBot="1" x14ac:dyDescent="0.35">
      <c r="A1" s="73" t="s">
        <v>64</v>
      </c>
      <c r="B1" s="74"/>
      <c r="C1" s="75"/>
    </row>
    <row r="2" spans="1:3" s="3" customFormat="1" ht="18.75" customHeight="1" x14ac:dyDescent="0.3">
      <c r="A2" s="31" t="s">
        <v>14</v>
      </c>
      <c r="B2" s="36" t="s">
        <v>33</v>
      </c>
      <c r="C2" s="37" t="s">
        <v>86</v>
      </c>
    </row>
    <row r="3" spans="1:3" s="3" customFormat="1" ht="15.6" x14ac:dyDescent="0.3">
      <c r="A3" s="39" t="s">
        <v>15</v>
      </c>
      <c r="B3" s="40" t="s">
        <v>38</v>
      </c>
      <c r="C3" s="41">
        <f>C4+C5+C6</f>
        <v>411.3</v>
      </c>
    </row>
    <row r="4" spans="1:3" x14ac:dyDescent="0.3">
      <c r="A4" s="31" t="s">
        <v>16</v>
      </c>
      <c r="B4" s="36" t="s">
        <v>34</v>
      </c>
      <c r="C4" s="38">
        <f>0.0976*C2</f>
        <v>292.8</v>
      </c>
    </row>
    <row r="5" spans="1:3" x14ac:dyDescent="0.3">
      <c r="A5" s="39" t="s">
        <v>17</v>
      </c>
      <c r="B5" s="40" t="s">
        <v>35</v>
      </c>
      <c r="C5" s="42">
        <f>0.015*C2</f>
        <v>45</v>
      </c>
    </row>
    <row r="6" spans="1:3" x14ac:dyDescent="0.3">
      <c r="A6" s="31" t="s">
        <v>18</v>
      </c>
      <c r="B6" s="36" t="s">
        <v>36</v>
      </c>
      <c r="C6" s="38">
        <f>0.0245*C2</f>
        <v>73.5</v>
      </c>
    </row>
    <row r="7" spans="1:3" s="3" customFormat="1" ht="15.6" x14ac:dyDescent="0.3">
      <c r="A7" s="39" t="s">
        <v>19</v>
      </c>
      <c r="B7" s="40" t="s">
        <v>37</v>
      </c>
      <c r="C7" s="41">
        <f>C2-C3</f>
        <v>2588.6999999999998</v>
      </c>
    </row>
    <row r="8" spans="1:3" x14ac:dyDescent="0.3">
      <c r="A8" s="31" t="s">
        <v>20</v>
      </c>
      <c r="B8" s="36" t="s">
        <v>39</v>
      </c>
      <c r="C8" s="38">
        <v>250</v>
      </c>
    </row>
    <row r="9" spans="1:3" x14ac:dyDescent="0.3">
      <c r="A9" s="39" t="s">
        <v>21</v>
      </c>
      <c r="B9" s="40" t="s">
        <v>40</v>
      </c>
      <c r="C9" s="42">
        <f>ROUNDUP(C7-C8,0)</f>
        <v>2339</v>
      </c>
    </row>
    <row r="10" spans="1:3" x14ac:dyDescent="0.3">
      <c r="A10" s="31" t="s">
        <v>32</v>
      </c>
      <c r="B10" s="36" t="s">
        <v>87</v>
      </c>
      <c r="C10" s="38">
        <f>0.17*C9</f>
        <v>397.63000000000005</v>
      </c>
    </row>
    <row r="11" spans="1:3" x14ac:dyDescent="0.3">
      <c r="A11" s="39" t="s">
        <v>23</v>
      </c>
      <c r="B11" s="40" t="s">
        <v>58</v>
      </c>
      <c r="C11" s="42">
        <v>43.76</v>
      </c>
    </row>
    <row r="12" spans="1:3" x14ac:dyDescent="0.3">
      <c r="A12" s="31" t="s">
        <v>22</v>
      </c>
      <c r="B12" s="36" t="s">
        <v>41</v>
      </c>
      <c r="C12" s="38">
        <f>C10-C11</f>
        <v>353.87000000000006</v>
      </c>
    </row>
    <row r="13" spans="1:3" x14ac:dyDescent="0.3">
      <c r="A13" s="39" t="s">
        <v>24</v>
      </c>
      <c r="B13" s="40" t="s">
        <v>42</v>
      </c>
      <c r="C13" s="42">
        <f>0.09*C7</f>
        <v>232.98299999999998</v>
      </c>
    </row>
    <row r="14" spans="1:3" x14ac:dyDescent="0.3">
      <c r="A14" s="31" t="s">
        <v>25</v>
      </c>
      <c r="B14" s="36" t="s">
        <v>56</v>
      </c>
      <c r="C14" s="38">
        <f>0.0775*C7</f>
        <v>200.62424999999999</v>
      </c>
    </row>
    <row r="15" spans="1:3" x14ac:dyDescent="0.3">
      <c r="A15" s="39" t="s">
        <v>26</v>
      </c>
      <c r="B15" s="40" t="s">
        <v>43</v>
      </c>
      <c r="C15" s="42">
        <f>ROUNDUP(C12-C14,0)</f>
        <v>154</v>
      </c>
    </row>
    <row r="16" spans="1:3" x14ac:dyDescent="0.3">
      <c r="A16" s="31" t="s">
        <v>27</v>
      </c>
      <c r="B16" s="36" t="s">
        <v>44</v>
      </c>
      <c r="C16" s="38">
        <f>C2-C3-C13-C15</f>
        <v>2201.7169999999996</v>
      </c>
    </row>
    <row r="17" spans="1:3" s="3" customFormat="1" ht="15.6" x14ac:dyDescent="0.3">
      <c r="A17" s="39" t="s">
        <v>28</v>
      </c>
      <c r="B17" s="40" t="s">
        <v>45</v>
      </c>
      <c r="C17" s="41">
        <f>C18+C19+C20+C21+C22</f>
        <v>614.4</v>
      </c>
    </row>
    <row r="18" spans="1:3" x14ac:dyDescent="0.3">
      <c r="A18" s="31" t="s">
        <v>16</v>
      </c>
      <c r="B18" s="36" t="s">
        <v>46</v>
      </c>
      <c r="C18" s="38">
        <f>0.0976*C2</f>
        <v>292.8</v>
      </c>
    </row>
    <row r="19" spans="1:3" x14ac:dyDescent="0.3">
      <c r="A19" s="39" t="s">
        <v>17</v>
      </c>
      <c r="B19" s="40" t="s">
        <v>47</v>
      </c>
      <c r="C19" s="42">
        <f>0.065*C2</f>
        <v>195</v>
      </c>
    </row>
    <row r="20" spans="1:3" x14ac:dyDescent="0.3">
      <c r="A20" s="31" t="s">
        <v>29</v>
      </c>
      <c r="B20" s="36" t="s">
        <v>48</v>
      </c>
      <c r="C20" s="38">
        <f>0.0167*C2</f>
        <v>50.1</v>
      </c>
    </row>
    <row r="21" spans="1:3" x14ac:dyDescent="0.3">
      <c r="A21" s="39" t="s">
        <v>30</v>
      </c>
      <c r="B21" s="43" t="s">
        <v>36</v>
      </c>
      <c r="C21" s="44">
        <f>0.0245*C2</f>
        <v>73.5</v>
      </c>
    </row>
    <row r="22" spans="1:3" ht="15" thickBot="1" x14ac:dyDescent="0.35">
      <c r="A22" s="32" t="s">
        <v>31</v>
      </c>
      <c r="B22" s="33" t="s">
        <v>49</v>
      </c>
      <c r="C22" s="34">
        <f>0.001*C2</f>
        <v>3</v>
      </c>
    </row>
  </sheetData>
  <mergeCells count="1">
    <mergeCell ref="A1:C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"/>
  <sheetViews>
    <sheetView showGridLines="0" workbookViewId="0">
      <selection activeCell="B5" sqref="B5"/>
    </sheetView>
  </sheetViews>
  <sheetFormatPr defaultRowHeight="14.4" x14ac:dyDescent="0.3"/>
  <cols>
    <col min="1" max="1" width="54.88671875" style="35" customWidth="1"/>
    <col min="2" max="2" width="31.33203125" style="68" customWidth="1"/>
  </cols>
  <sheetData>
    <row r="1" spans="1:2" ht="35.1" customHeight="1" thickBot="1" x14ac:dyDescent="0.35">
      <c r="A1" s="76" t="s">
        <v>65</v>
      </c>
      <c r="B1" s="77"/>
    </row>
    <row r="2" spans="1:2" ht="30" customHeight="1" x14ac:dyDescent="0.3">
      <c r="A2" s="48" t="s">
        <v>67</v>
      </c>
      <c r="B2" s="67" t="s">
        <v>66</v>
      </c>
    </row>
    <row r="3" spans="1:2" ht="17.25" customHeight="1" x14ac:dyDescent="0.3">
      <c r="A3" s="49"/>
      <c r="B3" s="51"/>
    </row>
    <row r="4" spans="1:2" ht="20.100000000000001" customHeight="1" x14ac:dyDescent="0.3">
      <c r="A4" s="50" t="s">
        <v>50</v>
      </c>
      <c r="B4" s="51">
        <v>3200</v>
      </c>
    </row>
    <row r="5" spans="1:2" ht="20.100000000000001" customHeight="1" x14ac:dyDescent="0.3">
      <c r="A5" s="52" t="s">
        <v>51</v>
      </c>
      <c r="B5" s="53">
        <f>B4-0.1371*B4</f>
        <v>2761.2799999999997</v>
      </c>
    </row>
    <row r="6" spans="1:2" ht="20.100000000000001" customHeight="1" x14ac:dyDescent="0.3">
      <c r="A6" s="50" t="s">
        <v>53</v>
      </c>
      <c r="B6" s="69">
        <v>0</v>
      </c>
    </row>
    <row r="7" spans="1:2" ht="20.100000000000001" customHeight="1" x14ac:dyDescent="0.3">
      <c r="A7" s="52" t="s">
        <v>52</v>
      </c>
      <c r="B7" s="53">
        <f>B5/30*0.8*B6</f>
        <v>0</v>
      </c>
    </row>
    <row r="8" spans="1:2" ht="20.100000000000001" customHeight="1" x14ac:dyDescent="0.3">
      <c r="A8" s="50" t="s">
        <v>54</v>
      </c>
      <c r="B8" s="69">
        <v>15</v>
      </c>
    </row>
    <row r="9" spans="1:2" ht="20.100000000000001" customHeight="1" x14ac:dyDescent="0.3">
      <c r="A9" s="52" t="s">
        <v>55</v>
      </c>
      <c r="B9" s="53">
        <f>B5/30*0.8*B8</f>
        <v>1104.5120000000002</v>
      </c>
    </row>
    <row r="10" spans="1:2" x14ac:dyDescent="0.3">
      <c r="A10" s="49"/>
      <c r="B10" s="51"/>
    </row>
    <row r="11" spans="1:2" ht="31.5" customHeight="1" thickBot="1" x14ac:dyDescent="0.35">
      <c r="A11" s="54" t="s">
        <v>59</v>
      </c>
      <c r="B11" s="55">
        <f>B4-B4/30*(B6+B8)</f>
        <v>1600</v>
      </c>
    </row>
  </sheetData>
  <mergeCells count="1">
    <mergeCell ref="A1:B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31.5546875" customWidth="1"/>
    <col min="2" max="2" width="66.5546875" customWidth="1"/>
    <col min="3" max="3" width="13.88671875" style="66" customWidth="1"/>
    <col min="4" max="4" width="9.109375" customWidth="1"/>
  </cols>
  <sheetData>
    <row r="1" spans="1:10" ht="35.1" customHeight="1" thickBot="1" x14ac:dyDescent="0.35">
      <c r="A1" s="76" t="s">
        <v>69</v>
      </c>
      <c r="B1" s="78"/>
      <c r="C1" s="77"/>
    </row>
    <row r="2" spans="1:10" ht="24" customHeight="1" x14ac:dyDescent="0.3">
      <c r="A2" s="56" t="s">
        <v>67</v>
      </c>
      <c r="B2" s="57" t="s">
        <v>66</v>
      </c>
      <c r="C2" s="62" t="s">
        <v>70</v>
      </c>
    </row>
    <row r="3" spans="1:10" s="3" customFormat="1" ht="15.6" x14ac:dyDescent="0.3">
      <c r="A3" s="39" t="s">
        <v>14</v>
      </c>
      <c r="B3" s="58" t="s">
        <v>33</v>
      </c>
      <c r="C3" s="63">
        <f>'Chorobowe i zasiłki'!B11</f>
        <v>1600</v>
      </c>
    </row>
    <row r="4" spans="1:10" s="3" customFormat="1" ht="15.6" x14ac:dyDescent="0.3">
      <c r="A4" s="31" t="s">
        <v>15</v>
      </c>
      <c r="B4" s="59" t="s">
        <v>38</v>
      </c>
      <c r="C4" s="64">
        <f>C5+C6+C7</f>
        <v>219.36</v>
      </c>
    </row>
    <row r="5" spans="1:10" x14ac:dyDescent="0.3">
      <c r="A5" s="39" t="s">
        <v>16</v>
      </c>
      <c r="B5" s="58" t="s">
        <v>34</v>
      </c>
      <c r="C5" s="63">
        <f>0.0976*C3</f>
        <v>156.16</v>
      </c>
    </row>
    <row r="6" spans="1:10" x14ac:dyDescent="0.3">
      <c r="A6" s="31" t="s">
        <v>17</v>
      </c>
      <c r="B6" s="59" t="s">
        <v>35</v>
      </c>
      <c r="C6" s="64">
        <f>0.015*C3</f>
        <v>24</v>
      </c>
      <c r="D6" s="24"/>
    </row>
    <row r="7" spans="1:10" x14ac:dyDescent="0.3">
      <c r="A7" s="39" t="s">
        <v>18</v>
      </c>
      <c r="B7" s="58" t="s">
        <v>36</v>
      </c>
      <c r="C7" s="63">
        <f>0.0245*C3</f>
        <v>39.200000000000003</v>
      </c>
      <c r="D7" s="24"/>
      <c r="E7" s="24"/>
      <c r="F7" s="24"/>
      <c r="G7" s="24"/>
    </row>
    <row r="8" spans="1:10" s="3" customFormat="1" ht="15.6" x14ac:dyDescent="0.3">
      <c r="A8" s="31" t="s">
        <v>19</v>
      </c>
      <c r="B8" s="59" t="s">
        <v>37</v>
      </c>
      <c r="C8" s="64">
        <f>C3-C4+'Chorobowe i zasiłki'!B7</f>
        <v>1380.6399999999999</v>
      </c>
      <c r="D8" s="24"/>
      <c r="J8" s="3">
        <v>49</v>
      </c>
    </row>
    <row r="9" spans="1:10" x14ac:dyDescent="0.3">
      <c r="A9" s="39" t="s">
        <v>20</v>
      </c>
      <c r="B9" s="58" t="s">
        <v>39</v>
      </c>
      <c r="C9" s="63">
        <v>250</v>
      </c>
      <c r="D9" s="24"/>
      <c r="J9">
        <v>62.67</v>
      </c>
    </row>
    <row r="10" spans="1:10" x14ac:dyDescent="0.3">
      <c r="A10" s="31" t="s">
        <v>21</v>
      </c>
      <c r="B10" s="59" t="s">
        <v>40</v>
      </c>
      <c r="C10" s="64">
        <f>ROUNDUP(C8-C9+'Chorobowe i zasiłki'!B9,0)</f>
        <v>2236</v>
      </c>
      <c r="D10" s="24"/>
    </row>
    <row r="11" spans="1:10" x14ac:dyDescent="0.3">
      <c r="A11" s="39" t="s">
        <v>32</v>
      </c>
      <c r="B11" s="58" t="s">
        <v>87</v>
      </c>
      <c r="C11" s="63">
        <f>0.17*C10</f>
        <v>380.12</v>
      </c>
      <c r="D11" s="24"/>
    </row>
    <row r="12" spans="1:10" x14ac:dyDescent="0.3">
      <c r="A12" s="31" t="s">
        <v>23</v>
      </c>
      <c r="B12" s="59" t="s">
        <v>57</v>
      </c>
      <c r="C12" s="64">
        <v>43.76</v>
      </c>
      <c r="D12" s="24"/>
    </row>
    <row r="13" spans="1:10" x14ac:dyDescent="0.3">
      <c r="A13" s="39" t="s">
        <v>22</v>
      </c>
      <c r="B13" s="58" t="s">
        <v>41</v>
      </c>
      <c r="C13" s="63">
        <f>C11-C12</f>
        <v>336.36</v>
      </c>
      <c r="D13" s="24"/>
    </row>
    <row r="14" spans="1:10" x14ac:dyDescent="0.3">
      <c r="A14" s="31" t="s">
        <v>24</v>
      </c>
      <c r="B14" s="59" t="s">
        <v>42</v>
      </c>
      <c r="C14" s="64">
        <f>0.09*C8</f>
        <v>124.25759999999998</v>
      </c>
      <c r="D14" s="24"/>
    </row>
    <row r="15" spans="1:10" x14ac:dyDescent="0.3">
      <c r="A15" s="39" t="s">
        <v>25</v>
      </c>
      <c r="B15" s="58" t="s">
        <v>56</v>
      </c>
      <c r="C15" s="63">
        <f>0.075*C8</f>
        <v>103.54799999999999</v>
      </c>
      <c r="D15" s="24"/>
    </row>
    <row r="16" spans="1:10" x14ac:dyDescent="0.3">
      <c r="A16" s="31" t="s">
        <v>26</v>
      </c>
      <c r="B16" s="59" t="s">
        <v>43</v>
      </c>
      <c r="C16" s="64">
        <f>ROUNDUP(C13-C15,0)</f>
        <v>233</v>
      </c>
      <c r="D16" s="24"/>
    </row>
    <row r="17" spans="1:4" x14ac:dyDescent="0.3">
      <c r="A17" s="39" t="s">
        <v>27</v>
      </c>
      <c r="B17" s="58" t="s">
        <v>44</v>
      </c>
      <c r="C17" s="63">
        <f>C3+'Chorobowe i zasiłki'!B7+'Chorobowe i zasiłki'!B9-'Lista płac z chorobowymi'!C4-'Lista płac z chorobowymi'!C14-'Lista płac z chorobowymi'!C16</f>
        <v>2127.8944000000001</v>
      </c>
      <c r="D17" s="24"/>
    </row>
    <row r="18" spans="1:4" s="3" customFormat="1" ht="15.6" x14ac:dyDescent="0.3">
      <c r="A18" s="31" t="s">
        <v>28</v>
      </c>
      <c r="B18" s="59" t="s">
        <v>45</v>
      </c>
      <c r="C18" s="64">
        <f>C19+C20+C21+C22+C23</f>
        <v>327.68</v>
      </c>
    </row>
    <row r="19" spans="1:4" x14ac:dyDescent="0.3">
      <c r="A19" s="39" t="s">
        <v>16</v>
      </c>
      <c r="B19" s="58" t="s">
        <v>46</v>
      </c>
      <c r="C19" s="63">
        <f>0.0976*C3</f>
        <v>156.16</v>
      </c>
    </row>
    <row r="20" spans="1:4" x14ac:dyDescent="0.3">
      <c r="A20" s="31" t="s">
        <v>17</v>
      </c>
      <c r="B20" s="59" t="s">
        <v>47</v>
      </c>
      <c r="C20" s="64">
        <f>0.065*C3</f>
        <v>104</v>
      </c>
    </row>
    <row r="21" spans="1:4" x14ac:dyDescent="0.3">
      <c r="A21" s="39" t="s">
        <v>29</v>
      </c>
      <c r="B21" s="58" t="s">
        <v>48</v>
      </c>
      <c r="C21" s="63">
        <f>0.0167*C3</f>
        <v>26.72</v>
      </c>
    </row>
    <row r="22" spans="1:4" x14ac:dyDescent="0.3">
      <c r="A22" s="31" t="s">
        <v>30</v>
      </c>
      <c r="B22" s="59" t="s">
        <v>36</v>
      </c>
      <c r="C22" s="64">
        <f>0.0245*C3</f>
        <v>39.200000000000003</v>
      </c>
    </row>
    <row r="23" spans="1:4" ht="15" thickBot="1" x14ac:dyDescent="0.35">
      <c r="A23" s="60" t="s">
        <v>31</v>
      </c>
      <c r="B23" s="61" t="s">
        <v>49</v>
      </c>
      <c r="C23" s="65">
        <f>0.001*C3</f>
        <v>1.6</v>
      </c>
    </row>
  </sheetData>
  <mergeCells count="1">
    <mergeCell ref="A1:C1"/>
  </mergeCells>
  <pageMargins left="0.70866141732283472" right="0.11811023622047245" top="0.74803149606299213" bottom="0.74803149606299213" header="0.31496062992125984" footer="0.31496062992125984"/>
  <pageSetup paperSize="9" orientation="landscape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6"/>
  <sheetViews>
    <sheetView tabSelected="1" workbookViewId="0">
      <selection activeCell="H14" sqref="H14"/>
    </sheetView>
  </sheetViews>
  <sheetFormatPr defaultRowHeight="14.4" x14ac:dyDescent="0.3"/>
  <sheetData>
    <row r="1" spans="1:2" x14ac:dyDescent="0.3">
      <c r="A1" t="s">
        <v>72</v>
      </c>
      <c r="B1">
        <v>12</v>
      </c>
    </row>
    <row r="2" spans="1:2" x14ac:dyDescent="0.3">
      <c r="A2" t="s">
        <v>73</v>
      </c>
      <c r="B2">
        <v>14</v>
      </c>
    </row>
    <row r="3" spans="1:2" x14ac:dyDescent="0.3">
      <c r="A3" t="s">
        <v>74</v>
      </c>
      <c r="B3">
        <v>13</v>
      </c>
    </row>
    <row r="4" spans="1:2" x14ac:dyDescent="0.3">
      <c r="A4" t="s">
        <v>75</v>
      </c>
      <c r="B4">
        <v>13</v>
      </c>
    </row>
    <row r="5" spans="1:2" x14ac:dyDescent="0.3">
      <c r="A5" t="s">
        <v>76</v>
      </c>
      <c r="B5">
        <v>13</v>
      </c>
    </row>
    <row r="6" spans="1:2" x14ac:dyDescent="0.3">
      <c r="A6" t="s">
        <v>77</v>
      </c>
      <c r="B6">
        <v>11</v>
      </c>
    </row>
    <row r="7" spans="1:2" x14ac:dyDescent="0.3">
      <c r="A7" t="s">
        <v>78</v>
      </c>
      <c r="B7">
        <v>12</v>
      </c>
    </row>
    <row r="8" spans="1:2" x14ac:dyDescent="0.3">
      <c r="A8" t="s">
        <v>79</v>
      </c>
      <c r="B8">
        <v>15</v>
      </c>
    </row>
    <row r="9" spans="1:2" x14ac:dyDescent="0.3">
      <c r="A9" t="s">
        <v>80</v>
      </c>
      <c r="B9">
        <v>13</v>
      </c>
    </row>
    <row r="10" spans="1:2" x14ac:dyDescent="0.3">
      <c r="A10" t="s">
        <v>81</v>
      </c>
      <c r="B10">
        <v>13</v>
      </c>
    </row>
    <row r="11" spans="1:2" x14ac:dyDescent="0.3">
      <c r="A11" t="s">
        <v>82</v>
      </c>
      <c r="B11">
        <v>13</v>
      </c>
    </row>
    <row r="12" spans="1:2" x14ac:dyDescent="0.3">
      <c r="A12" t="s">
        <v>83</v>
      </c>
      <c r="B12">
        <v>13</v>
      </c>
    </row>
    <row r="13" spans="1:2" x14ac:dyDescent="0.3">
      <c r="B13">
        <v>155</v>
      </c>
    </row>
    <row r="14" spans="1:2" x14ac:dyDescent="0.3">
      <c r="B14">
        <f>155/12</f>
        <v>12.916666666666666</v>
      </c>
    </row>
    <row r="16" spans="1:2" x14ac:dyDescent="0.3">
      <c r="B16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Pracodawca</vt:lpstr>
      <vt:lpstr>Pracownicy</vt:lpstr>
      <vt:lpstr>Zleceniobiorcy</vt:lpstr>
      <vt:lpstr>Lista płac</vt:lpstr>
      <vt:lpstr>Chorobowe i zasiłki</vt:lpstr>
      <vt:lpstr>Lista płac z chorobowymi</vt:lpstr>
      <vt:lpstr>ZUS IWA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Gestum</dc:creator>
  <cp:lastModifiedBy>konta</cp:lastModifiedBy>
  <cp:lastPrinted>2018-04-08T18:47:03Z</cp:lastPrinted>
  <dcterms:created xsi:type="dcterms:W3CDTF">2018-03-21T11:24:46Z</dcterms:created>
  <dcterms:modified xsi:type="dcterms:W3CDTF">2021-08-05T16:04:21Z</dcterms:modified>
</cp:coreProperties>
</file>